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llard\Desktop\"/>
    </mc:Choice>
  </mc:AlternateContent>
  <xr:revisionPtr revIDLastSave="0" documentId="13_ncr:1_{F85291C3-245D-4727-AC7A-F870D6B2570B}" xr6:coauthVersionLast="47" xr6:coauthVersionMax="47" xr10:uidLastSave="{00000000-0000-0000-0000-000000000000}"/>
  <bookViews>
    <workbookView xWindow="2310" yWindow="1500" windowWidth="21600" windowHeight="112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Sheet1!$A$1:$L$110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3" i="1" l="1"/>
  <c r="L41" i="1"/>
  <c r="L55" i="1" l="1"/>
  <c r="L26" i="1"/>
  <c r="L4" i="1" l="1"/>
  <c r="L18" i="1"/>
  <c r="L12" i="1"/>
  <c r="L73" i="1"/>
  <c r="H76" i="1"/>
  <c r="I76" i="1" s="1"/>
  <c r="J76" i="1" s="1"/>
  <c r="H101" i="1"/>
  <c r="I101" i="1" s="1"/>
  <c r="J101" i="1" s="1"/>
  <c r="H99" i="1"/>
  <c r="H91" i="1"/>
  <c r="I91" i="1" s="1"/>
  <c r="J91" i="1" s="1"/>
  <c r="H90" i="1"/>
  <c r="I90" i="1" s="1"/>
  <c r="J90" i="1" s="1"/>
  <c r="H75" i="1"/>
  <c r="I69" i="1"/>
  <c r="J69" i="1" s="1"/>
  <c r="H68" i="1"/>
  <c r="L68" i="1" s="1"/>
  <c r="H67" i="1"/>
  <c r="H65" i="1"/>
  <c r="I65" i="1" s="1"/>
  <c r="J65" i="1" s="1"/>
  <c r="H58" i="1"/>
  <c r="H55" i="1" s="1"/>
  <c r="H43" i="1"/>
  <c r="I43" i="1" s="1"/>
  <c r="J43" i="1" s="1"/>
  <c r="H28" i="1"/>
  <c r="I28" i="1" s="1"/>
  <c r="J28" i="1" s="1"/>
  <c r="H23" i="1"/>
  <c r="I23" i="1" s="1"/>
  <c r="J23" i="1" s="1"/>
  <c r="H22" i="1"/>
  <c r="I22" i="1" s="1"/>
  <c r="J22" i="1" s="1"/>
  <c r="H21" i="1"/>
  <c r="I21" i="1" s="1"/>
  <c r="J21" i="1" s="1"/>
  <c r="H20" i="1"/>
  <c r="I20" i="1" s="1"/>
  <c r="J20" i="1" s="1"/>
  <c r="H9" i="1"/>
  <c r="I9" i="1" s="1"/>
  <c r="J9" i="1" s="1"/>
  <c r="H6" i="1"/>
  <c r="I6" i="1" s="1"/>
  <c r="J6" i="1" s="1"/>
  <c r="I109" i="1"/>
  <c r="J109" i="1" s="1"/>
  <c r="I108" i="1"/>
  <c r="J108" i="1" s="1"/>
  <c r="I106" i="1"/>
  <c r="J106" i="1" s="1"/>
  <c r="I93" i="1"/>
  <c r="J93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0" i="1"/>
  <c r="J70" i="1" s="1"/>
  <c r="I66" i="1"/>
  <c r="J66" i="1" s="1"/>
  <c r="I60" i="1"/>
  <c r="J60" i="1" s="1"/>
  <c r="I15" i="1"/>
  <c r="J15" i="1" s="1"/>
  <c r="I14" i="1"/>
  <c r="J14" i="1" s="1"/>
  <c r="B53" i="1"/>
  <c r="F4" i="1"/>
  <c r="H78" i="1"/>
  <c r="I78" i="1" s="1"/>
  <c r="J78" i="1" s="1"/>
  <c r="H77" i="1"/>
  <c r="I77" i="1" s="1"/>
  <c r="J77" i="1" s="1"/>
  <c r="F73" i="1"/>
  <c r="F55" i="1"/>
  <c r="F26" i="1"/>
  <c r="H52" i="1"/>
  <c r="I52" i="1" s="1"/>
  <c r="J52" i="1" s="1"/>
  <c r="H51" i="1"/>
  <c r="I51" i="1" s="1"/>
  <c r="J51" i="1" s="1"/>
  <c r="H50" i="1"/>
  <c r="I50" i="1" s="1"/>
  <c r="J50" i="1" s="1"/>
  <c r="H49" i="1"/>
  <c r="I49" i="1" s="1"/>
  <c r="J49" i="1" s="1"/>
  <c r="H46" i="1"/>
  <c r="I46" i="1" s="1"/>
  <c r="J46" i="1" s="1"/>
  <c r="H44" i="1"/>
  <c r="I44" i="1" s="1"/>
  <c r="J44" i="1" s="1"/>
  <c r="F41" i="1"/>
  <c r="H37" i="1"/>
  <c r="I37" i="1" s="1"/>
  <c r="J37" i="1" s="1"/>
  <c r="H36" i="1"/>
  <c r="I36" i="1" s="1"/>
  <c r="J36" i="1" s="1"/>
  <c r="H35" i="1"/>
  <c r="I35" i="1" s="1"/>
  <c r="J35" i="1" s="1"/>
  <c r="H34" i="1"/>
  <c r="I34" i="1" s="1"/>
  <c r="J34" i="1" s="1"/>
  <c r="H32" i="1"/>
  <c r="I32" i="1" s="1"/>
  <c r="J32" i="1" s="1"/>
  <c r="H31" i="1"/>
  <c r="I31" i="1" s="1"/>
  <c r="J31" i="1" s="1"/>
  <c r="H30" i="1"/>
  <c r="B10" i="1"/>
  <c r="H59" i="1"/>
  <c r="H12" i="1"/>
  <c r="F63" i="1"/>
  <c r="B94" i="1"/>
  <c r="B102" i="1"/>
  <c r="B71" i="1"/>
  <c r="F92" i="1"/>
  <c r="F88" i="1" s="1"/>
  <c r="B110" i="1"/>
  <c r="B39" i="1"/>
  <c r="B24" i="1"/>
  <c r="B16" i="1"/>
  <c r="F107" i="1"/>
  <c r="H107" i="1" s="1"/>
  <c r="H104" i="1" s="1"/>
  <c r="F98" i="1"/>
  <c r="I98" i="1" s="1"/>
  <c r="J98" i="1" s="1"/>
  <c r="F59" i="1"/>
  <c r="F12" i="1"/>
  <c r="I68" i="1" l="1"/>
  <c r="J68" i="1" s="1"/>
  <c r="I12" i="1"/>
  <c r="J12" i="1" s="1"/>
  <c r="I59" i="1"/>
  <c r="J59" i="1" s="1"/>
  <c r="H63" i="1"/>
  <c r="I63" i="1" s="1"/>
  <c r="J63" i="1" s="1"/>
  <c r="H73" i="1"/>
  <c r="I73" i="1" s="1"/>
  <c r="J73" i="1" s="1"/>
  <c r="I67" i="1"/>
  <c r="J67" i="1" s="1"/>
  <c r="L96" i="1"/>
  <c r="L59" i="1"/>
  <c r="I55" i="1"/>
  <c r="J55" i="1" s="1"/>
  <c r="L104" i="1"/>
  <c r="H26" i="1"/>
  <c r="I26" i="1" s="1"/>
  <c r="J26" i="1" s="1"/>
  <c r="H92" i="1"/>
  <c r="I58" i="1"/>
  <c r="J58" i="1" s="1"/>
  <c r="I107" i="1"/>
  <c r="J107" i="1" s="1"/>
  <c r="I30" i="1"/>
  <c r="J30" i="1" s="1"/>
  <c r="H96" i="1"/>
  <c r="I99" i="1"/>
  <c r="J99" i="1" s="1"/>
  <c r="I75" i="1"/>
  <c r="J75" i="1" s="1"/>
  <c r="H41" i="1"/>
  <c r="I41" i="1" s="1"/>
  <c r="J41" i="1" s="1"/>
  <c r="H4" i="1"/>
  <c r="I4" i="1" s="1"/>
  <c r="J4" i="1" s="1"/>
  <c r="F96" i="1"/>
  <c r="F104" i="1"/>
  <c r="I104" i="1" s="1"/>
  <c r="J104" i="1" s="1"/>
  <c r="H18" i="1"/>
  <c r="F18" i="1"/>
  <c r="F112" i="1" l="1"/>
  <c r="I18" i="1"/>
  <c r="J18" i="1" s="1"/>
  <c r="I92" i="1"/>
  <c r="J92" i="1" s="1"/>
  <c r="L88" i="1"/>
  <c r="L112" i="1" s="1"/>
  <c r="I96" i="1"/>
  <c r="J96" i="1" s="1"/>
  <c r="H88" i="1"/>
  <c r="I88" i="1" s="1"/>
  <c r="J88" i="1" s="1"/>
  <c r="B61" i="1"/>
  <c r="B86" i="1"/>
  <c r="H112" i="1" l="1"/>
  <c r="I112" i="1" s="1"/>
  <c r="J112" i="1" s="1"/>
</calcChain>
</file>

<file path=xl/sharedStrings.xml><?xml version="1.0" encoding="utf-8"?>
<sst xmlns="http://schemas.openxmlformats.org/spreadsheetml/2006/main" count="108" uniqueCount="75">
  <si>
    <t>General Government</t>
  </si>
  <si>
    <t>Required Appropriation Total:</t>
  </si>
  <si>
    <t>City Manager</t>
  </si>
  <si>
    <t>City Council &amp; City Clerk:</t>
  </si>
  <si>
    <t>Mayor</t>
  </si>
  <si>
    <t>Councilpersons</t>
  </si>
  <si>
    <t>Finance Department:</t>
  </si>
  <si>
    <t>Finance Director</t>
  </si>
  <si>
    <t>Accounting Assistant</t>
  </si>
  <si>
    <t>Fire Department:</t>
  </si>
  <si>
    <t>Fire Chief/EMA Coordinator</t>
  </si>
  <si>
    <t>Public Safety Administrative Assistant</t>
  </si>
  <si>
    <t>Assistant Fire Chief</t>
  </si>
  <si>
    <t>Captain</t>
  </si>
  <si>
    <t>Firefighter:</t>
  </si>
  <si>
    <t xml:space="preserve">         Fourth Year</t>
  </si>
  <si>
    <t xml:space="preserve">         Third Year</t>
  </si>
  <si>
    <t xml:space="preserve">         Second Year</t>
  </si>
  <si>
    <t xml:space="preserve">         First Year</t>
  </si>
  <si>
    <t>Police Department:</t>
  </si>
  <si>
    <t>Patrol Officer:</t>
  </si>
  <si>
    <t>Police Department, Others:</t>
  </si>
  <si>
    <t>Records Clerk</t>
  </si>
  <si>
    <t>Department of Community &amp; Economic Development:</t>
  </si>
  <si>
    <t>Fiscal Officer</t>
  </si>
  <si>
    <t>Department of Public Works:</t>
  </si>
  <si>
    <t xml:space="preserve">Director </t>
  </si>
  <si>
    <t>Equipment Operator</t>
  </si>
  <si>
    <t>Maintenance Man/Electrician/Team Leader</t>
  </si>
  <si>
    <t>Truck Driver</t>
  </si>
  <si>
    <t>Laborer</t>
  </si>
  <si>
    <t>Laborer Rate (Two Tier)</t>
  </si>
  <si>
    <t>Groundskeeper (Roxbury)</t>
  </si>
  <si>
    <t>Seasonal - Winter (12 weeks)</t>
  </si>
  <si>
    <t>Parking Fund- On Street Parking:</t>
  </si>
  <si>
    <t>Parking Meter Service Person</t>
  </si>
  <si>
    <t>Clerk</t>
  </si>
  <si>
    <t>Senior Meter Person</t>
  </si>
  <si>
    <t>Parking Enforcement</t>
  </si>
  <si>
    <t xml:space="preserve"> </t>
  </si>
  <si>
    <t>Administrative Assistant</t>
  </si>
  <si>
    <t xml:space="preserve">Parttime Firefighters </t>
  </si>
  <si>
    <t>Mechanic -- Tier One</t>
  </si>
  <si>
    <t>Mechanic -- Tier Two</t>
  </si>
  <si>
    <t>Accounting Clerk/ Accounts Payable</t>
  </si>
  <si>
    <t>18.99 per hour</t>
  </si>
  <si>
    <t>Codes Manager/ BCO</t>
  </si>
  <si>
    <t>Recreation &amp; Community Events Coordinator</t>
  </si>
  <si>
    <t>none</t>
  </si>
  <si>
    <t>19.37 per hour</t>
  </si>
  <si>
    <t>Economic Development Coordinator</t>
  </si>
  <si>
    <t>Sargent</t>
  </si>
  <si>
    <t>Public Works Administrator</t>
  </si>
  <si>
    <t>Recreation Department:</t>
  </si>
  <si>
    <t>Codes Department:</t>
  </si>
  <si>
    <t>.</t>
  </si>
  <si>
    <t>Seasonal Code Enforce Laborer(30 Weeks)</t>
  </si>
  <si>
    <t>Laborer (Sargent Stadium)</t>
  </si>
  <si>
    <t>Seasonal - Summer (12 weeks)Other Parks</t>
  </si>
  <si>
    <t>Executive Secretary</t>
  </si>
  <si>
    <t>19.76 per hour</t>
  </si>
  <si>
    <t>Codes Officer</t>
  </si>
  <si>
    <t>%</t>
  </si>
  <si>
    <t>Increase</t>
  </si>
  <si>
    <t>Payroll/Human Resources</t>
  </si>
  <si>
    <t>SALARIES AND WAGES</t>
  </si>
  <si>
    <t>Planning &amp; DCED Director</t>
  </si>
  <si>
    <t>Lieutenant</t>
  </si>
  <si>
    <t>Parks Maintenance Technician</t>
  </si>
  <si>
    <t>Fleet Manager</t>
  </si>
  <si>
    <t>Admin Capt.</t>
  </si>
  <si>
    <t xml:space="preserve">         BCI Officer</t>
  </si>
  <si>
    <t xml:space="preserve">Asst. City Manager </t>
  </si>
  <si>
    <t>Human Resources/Title VI Officer</t>
  </si>
  <si>
    <t>Residential Program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</si>
</sst>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43" fontId="5" fillId="0" borderId="0" xfId="0" applyNumberFormat="1" applyFont="1"/>
    <xf numFmtId="43" fontId="4" fillId="0" borderId="0" xfId="1" applyFont="1" applyFill="1"/>
    <xf numFmtId="43" fontId="4" fillId="0" borderId="0" xfId="1" applyFont="1" applyFill="1" applyBorder="1"/>
    <xf numFmtId="43" fontId="4" fillId="0" borderId="1" xfId="1" applyFont="1" applyFill="1" applyBorder="1"/>
    <xf numFmtId="43" fontId="4" fillId="0" borderId="0" xfId="0" applyNumberFormat="1" applyFont="1"/>
    <xf numFmtId="43" fontId="5" fillId="0" borderId="0" xfId="1" applyFont="1" applyFill="1"/>
    <xf numFmtId="0" fontId="4" fillId="0" borderId="0" xfId="0" applyFont="1" applyAlignment="1">
      <alignment horizontal="left"/>
    </xf>
    <xf numFmtId="4" fontId="4" fillId="0" borderId="0" xfId="1" applyNumberFormat="1" applyFont="1" applyFill="1"/>
    <xf numFmtId="4" fontId="5" fillId="0" borderId="0" xfId="0" applyNumberFormat="1" applyFont="1"/>
    <xf numFmtId="43" fontId="4" fillId="0" borderId="0" xfId="0" applyNumberFormat="1" applyFont="1" applyAlignment="1">
      <alignment horizontal="left"/>
    </xf>
    <xf numFmtId="44" fontId="5" fillId="0" borderId="0" xfId="0" applyNumberFormat="1" applyFont="1"/>
    <xf numFmtId="43" fontId="3" fillId="0" borderId="0" xfId="0" applyNumberFormat="1" applyFont="1"/>
    <xf numFmtId="4" fontId="6" fillId="0" borderId="0" xfId="0" applyNumberFormat="1" applyFont="1"/>
    <xf numFmtId="4" fontId="3" fillId="0" borderId="0" xfId="2" applyNumberFormat="1" applyFont="1" applyAlignment="1">
      <alignment horizontal="left" vertical="center"/>
    </xf>
    <xf numFmtId="43" fontId="4" fillId="0" borderId="0" xfId="1" applyFont="1" applyFill="1" applyAlignment="1">
      <alignment horizontal="right"/>
    </xf>
    <xf numFmtId="43" fontId="3" fillId="0" borderId="0" xfId="1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2" fontId="7" fillId="0" borderId="0" xfId="0" applyNumberFormat="1" applyFont="1" applyAlignment="1">
      <alignment horizontal="left" vertical="center"/>
    </xf>
    <xf numFmtId="2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left"/>
    </xf>
    <xf numFmtId="39" fontId="7" fillId="0" borderId="0" xfId="0" applyNumberFormat="1" applyFont="1" applyAlignment="1">
      <alignment horizontal="left"/>
    </xf>
    <xf numFmtId="43" fontId="3" fillId="0" borderId="0" xfId="1" applyFont="1" applyFill="1"/>
    <xf numFmtId="4" fontId="7" fillId="0" borderId="0" xfId="0" applyNumberFormat="1" applyFont="1" applyAlignment="1">
      <alignment horizontal="right"/>
    </xf>
    <xf numFmtId="39" fontId="4" fillId="0" borderId="0" xfId="0" applyNumberFormat="1" applyFont="1"/>
    <xf numFmtId="39" fontId="0" fillId="0" borderId="0" xfId="0" applyNumberFormat="1"/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1" xfId="0" applyFont="1" applyBorder="1"/>
    <xf numFmtId="43" fontId="7" fillId="0" borderId="0" xfId="0" applyNumberFormat="1" applyFont="1"/>
    <xf numFmtId="43" fontId="8" fillId="0" borderId="0" xfId="0" applyNumberFormat="1" applyFont="1"/>
    <xf numFmtId="39" fontId="8" fillId="0" borderId="0" xfId="0" applyNumberFormat="1" applyFont="1"/>
    <xf numFmtId="0" fontId="8" fillId="0" borderId="0" xfId="0" applyFont="1"/>
    <xf numFmtId="39" fontId="5" fillId="0" borderId="0" xfId="0" applyNumberFormat="1" applyFont="1"/>
    <xf numFmtId="43" fontId="5" fillId="0" borderId="0" xfId="1" applyFont="1" applyFill="1" applyBorder="1"/>
    <xf numFmtId="43" fontId="6" fillId="0" borderId="0" xfId="1" applyFont="1" applyFill="1"/>
    <xf numFmtId="43" fontId="5" fillId="0" borderId="2" xfId="0" applyNumberFormat="1" applyFont="1" applyBorder="1"/>
    <xf numFmtId="43" fontId="6" fillId="0" borderId="0" xfId="1" applyFont="1" applyFill="1" applyBorder="1"/>
    <xf numFmtId="43" fontId="6" fillId="0" borderId="0" xfId="1" applyFont="1" applyFill="1" applyBorder="1" applyAlignment="1">
      <alignment horizontal="left"/>
    </xf>
    <xf numFmtId="39" fontId="7" fillId="0" borderId="0" xfId="0" applyNumberFormat="1" applyFont="1"/>
    <xf numFmtId="0" fontId="7" fillId="0" borderId="0" xfId="0" applyFont="1"/>
    <xf numFmtId="0" fontId="4" fillId="0" borderId="1" xfId="0" applyFont="1" applyBorder="1" applyAlignment="1">
      <alignment horizontal="center"/>
    </xf>
    <xf numFmtId="1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0" xfId="0" applyNumberFormat="1"/>
    <xf numFmtId="39" fontId="4" fillId="0" borderId="0" xfId="1" applyNumberFormat="1" applyFont="1" applyFill="1" applyBorder="1"/>
    <xf numFmtId="4" fontId="0" fillId="0" borderId="0" xfId="0" applyNumberFormat="1" applyAlignment="1">
      <alignment horizontal="right"/>
    </xf>
    <xf numFmtId="0" fontId="5" fillId="0" borderId="1" xfId="2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tabSelected="1" workbookViewId="0">
      <selection activeCell="M66" sqref="M66"/>
    </sheetView>
  </sheetViews>
  <sheetFormatPr defaultRowHeight="15" x14ac:dyDescent="0.25"/>
  <cols>
    <col min="1" max="1" width="35.7109375" customWidth="1"/>
    <col min="2" max="2" width="12.7109375" customWidth="1"/>
    <col min="3" max="3" width="24.7109375" customWidth="1"/>
    <col min="4" max="4" width="15.28515625" hidden="1" customWidth="1"/>
    <col min="5" max="5" width="4.42578125" hidden="1" customWidth="1"/>
    <col min="6" max="6" width="16.7109375" style="29" hidden="1" customWidth="1"/>
    <col min="7" max="7" width="5.28515625" hidden="1" customWidth="1"/>
    <col min="8" max="8" width="14.28515625" style="29" hidden="1" customWidth="1"/>
    <col min="9" max="9" width="12.7109375" hidden="1" customWidth="1"/>
    <col min="10" max="10" width="9.5703125" hidden="1" customWidth="1"/>
    <col min="11" max="11" width="4" hidden="1" customWidth="1"/>
    <col min="12" max="12" width="14.7109375" customWidth="1"/>
  </cols>
  <sheetData>
    <row r="1" spans="1:12" x14ac:dyDescent="0.25">
      <c r="A1" s="52" t="s">
        <v>65</v>
      </c>
      <c r="B1" s="52"/>
      <c r="C1" s="52"/>
      <c r="D1" s="52"/>
      <c r="E1" s="17"/>
      <c r="F1" s="45">
        <v>2022</v>
      </c>
      <c r="H1" s="45">
        <v>2023</v>
      </c>
      <c r="I1" s="47" t="s">
        <v>63</v>
      </c>
      <c r="J1" s="48" t="s">
        <v>62</v>
      </c>
      <c r="K1" s="47"/>
      <c r="L1" s="45">
        <v>2025</v>
      </c>
    </row>
    <row r="2" spans="1:12" hidden="1" x14ac:dyDescent="0.25">
      <c r="A2" s="1"/>
      <c r="B2" s="1"/>
      <c r="C2" s="1"/>
      <c r="D2" s="31">
        <v>2021</v>
      </c>
      <c r="E2" s="2"/>
      <c r="F2" s="32">
        <v>2022</v>
      </c>
      <c r="H2" s="32">
        <v>2022</v>
      </c>
    </row>
    <row r="3" spans="1:12" x14ac:dyDescent="0.25">
      <c r="A3" s="1"/>
      <c r="B3" s="1"/>
      <c r="C3" s="1"/>
      <c r="D3" s="1"/>
      <c r="E3" s="2"/>
      <c r="F3" s="28"/>
      <c r="H3" s="28"/>
    </row>
    <row r="4" spans="1:12" x14ac:dyDescent="0.25">
      <c r="A4" s="3" t="s">
        <v>0</v>
      </c>
      <c r="B4" s="1"/>
      <c r="C4" s="3" t="s">
        <v>1</v>
      </c>
      <c r="D4" s="4">
        <v>312448.32</v>
      </c>
      <c r="E4" s="2"/>
      <c r="F4" s="37">
        <f>SUM(F6:F9)</f>
        <v>171000</v>
      </c>
      <c r="H4" s="37">
        <f>SUM(H6:H9)</f>
        <v>174420</v>
      </c>
      <c r="I4" s="29">
        <f>H4-F4</f>
        <v>3420</v>
      </c>
      <c r="J4" s="46">
        <f>I4/F4</f>
        <v>0.02</v>
      </c>
      <c r="L4" s="37">
        <f>SUM(L6:L9)</f>
        <v>323630.68</v>
      </c>
    </row>
    <row r="5" spans="1:12" x14ac:dyDescent="0.25">
      <c r="A5" s="1"/>
      <c r="B5" s="1"/>
      <c r="C5" s="44"/>
      <c r="D5" s="1"/>
      <c r="E5" s="2"/>
      <c r="F5" s="28"/>
      <c r="H5" s="28"/>
    </row>
    <row r="6" spans="1:12" x14ac:dyDescent="0.25">
      <c r="A6" s="1" t="s">
        <v>2</v>
      </c>
      <c r="B6" s="5">
        <v>1</v>
      </c>
      <c r="C6" s="1"/>
      <c r="D6" s="5">
        <v>125000</v>
      </c>
      <c r="E6" s="2"/>
      <c r="F6" s="28">
        <v>135000</v>
      </c>
      <c r="G6" t="s">
        <v>48</v>
      </c>
      <c r="H6" s="28">
        <f>F6*1.02</f>
        <v>137700</v>
      </c>
      <c r="I6" s="29">
        <f>H6-F6</f>
        <v>2700</v>
      </c>
      <c r="J6" s="46">
        <f>I6/F6</f>
        <v>0.02</v>
      </c>
      <c r="L6" s="49">
        <v>130000</v>
      </c>
    </row>
    <row r="7" spans="1:12" x14ac:dyDescent="0.25">
      <c r="A7" s="1" t="s">
        <v>72</v>
      </c>
      <c r="B7" s="5">
        <v>1</v>
      </c>
      <c r="C7" s="1"/>
      <c r="D7" s="5"/>
      <c r="E7" s="2"/>
      <c r="F7" s="28"/>
      <c r="H7" s="28"/>
      <c r="I7" s="29"/>
      <c r="J7" s="46"/>
      <c r="L7" s="49">
        <v>85000</v>
      </c>
    </row>
    <row r="8" spans="1:12" x14ac:dyDescent="0.25">
      <c r="A8" s="1" t="s">
        <v>73</v>
      </c>
      <c r="B8" s="5">
        <v>1</v>
      </c>
      <c r="C8" s="1"/>
      <c r="D8" s="5"/>
      <c r="E8" s="2"/>
      <c r="F8" s="28"/>
      <c r="H8" s="28"/>
      <c r="I8" s="29"/>
      <c r="J8" s="46"/>
      <c r="L8" s="49">
        <v>65000</v>
      </c>
    </row>
    <row r="9" spans="1:12" x14ac:dyDescent="0.25">
      <c r="A9" s="1" t="s">
        <v>59</v>
      </c>
      <c r="B9" s="7">
        <v>1</v>
      </c>
      <c r="C9" s="1"/>
      <c r="D9" s="6">
        <v>42448.32</v>
      </c>
      <c r="E9" s="2"/>
      <c r="F9" s="28">
        <v>36000</v>
      </c>
      <c r="H9" s="28">
        <f>F9*1.02</f>
        <v>36720</v>
      </c>
      <c r="I9" s="29">
        <f>H9-F9</f>
        <v>720</v>
      </c>
      <c r="J9" s="46">
        <f>I9/F9</f>
        <v>0.02</v>
      </c>
      <c r="L9" s="49">
        <v>43630.68</v>
      </c>
    </row>
    <row r="10" spans="1:12" x14ac:dyDescent="0.25">
      <c r="A10" s="1"/>
      <c r="B10" s="4">
        <f>SUM(B6:B9)</f>
        <v>4</v>
      </c>
      <c r="C10" s="22"/>
      <c r="D10" s="8"/>
      <c r="E10" s="2"/>
      <c r="F10" s="28"/>
      <c r="H10" s="28"/>
      <c r="L10" s="49"/>
    </row>
    <row r="11" spans="1:12" x14ac:dyDescent="0.25">
      <c r="A11" s="1"/>
      <c r="B11" s="1"/>
      <c r="C11" s="1"/>
      <c r="D11" s="1"/>
      <c r="E11" s="2"/>
      <c r="F11" s="28"/>
      <c r="H11" s="28"/>
      <c r="L11" s="49"/>
    </row>
    <row r="12" spans="1:12" x14ac:dyDescent="0.25">
      <c r="A12" s="3" t="s">
        <v>3</v>
      </c>
      <c r="B12" s="1"/>
      <c r="C12" s="3" t="s">
        <v>1</v>
      </c>
      <c r="D12" s="4">
        <v>16700</v>
      </c>
      <c r="E12" s="2"/>
      <c r="F12" s="37">
        <f>+F14+SUM(F15*6)</f>
        <v>16700</v>
      </c>
      <c r="H12" s="37">
        <f>+H14+SUM(H15*6)</f>
        <v>16700</v>
      </c>
      <c r="I12" s="29">
        <f>H12-F12</f>
        <v>0</v>
      </c>
      <c r="J12" s="46">
        <f>I12/F12</f>
        <v>0</v>
      </c>
      <c r="L12" s="37">
        <f>+L14+SUM(L15*B15)</f>
        <v>14500</v>
      </c>
    </row>
    <row r="13" spans="1:12" x14ac:dyDescent="0.25">
      <c r="A13" s="1"/>
      <c r="B13" s="1"/>
      <c r="C13" s="1"/>
      <c r="D13" s="1"/>
      <c r="E13" s="2"/>
      <c r="F13" s="28"/>
      <c r="H13" s="28"/>
      <c r="L13" s="49"/>
    </row>
    <row r="14" spans="1:12" x14ac:dyDescent="0.25">
      <c r="A14" s="1" t="s">
        <v>4</v>
      </c>
      <c r="B14" s="5">
        <v>1</v>
      </c>
      <c r="C14" s="1"/>
      <c r="D14" s="8">
        <v>3500</v>
      </c>
      <c r="E14" s="2"/>
      <c r="F14" s="28">
        <v>3500</v>
      </c>
      <c r="G14" t="s">
        <v>48</v>
      </c>
      <c r="H14" s="28">
        <v>3500</v>
      </c>
      <c r="I14" s="29">
        <f>H14-F14</f>
        <v>0</v>
      </c>
      <c r="J14" s="46">
        <f>I14/F14</f>
        <v>0</v>
      </c>
      <c r="L14" s="49">
        <v>3500</v>
      </c>
    </row>
    <row r="15" spans="1:12" x14ac:dyDescent="0.25">
      <c r="A15" s="1" t="s">
        <v>5</v>
      </c>
      <c r="B15" s="7">
        <v>5</v>
      </c>
      <c r="C15" s="1"/>
      <c r="D15" s="8">
        <v>2200</v>
      </c>
      <c r="E15" s="2"/>
      <c r="F15" s="28">
        <v>2200</v>
      </c>
      <c r="G15" t="s">
        <v>48</v>
      </c>
      <c r="H15" s="28">
        <v>2200</v>
      </c>
      <c r="I15" s="29">
        <f>H15-F15</f>
        <v>0</v>
      </c>
      <c r="J15" s="46">
        <f>I15/F15</f>
        <v>0</v>
      </c>
      <c r="L15" s="49">
        <v>2200</v>
      </c>
    </row>
    <row r="16" spans="1:12" x14ac:dyDescent="0.25">
      <c r="A16" s="1"/>
      <c r="B16" s="38">
        <f>SUM(B14:B15)</f>
        <v>6</v>
      </c>
      <c r="C16" s="1"/>
      <c r="D16" s="8"/>
      <c r="E16" s="2"/>
      <c r="F16" s="28"/>
      <c r="H16" s="28"/>
      <c r="L16" s="49"/>
    </row>
    <row r="17" spans="1:12" x14ac:dyDescent="0.25">
      <c r="A17" s="1"/>
      <c r="B17" s="5"/>
      <c r="C17" s="1"/>
      <c r="D17" s="1"/>
      <c r="E17" s="2"/>
      <c r="F17" s="28"/>
      <c r="H17" s="28"/>
      <c r="L17" s="49"/>
    </row>
    <row r="18" spans="1:12" x14ac:dyDescent="0.25">
      <c r="A18" s="3" t="s">
        <v>6</v>
      </c>
      <c r="B18" s="5"/>
      <c r="C18" s="3" t="s">
        <v>1</v>
      </c>
      <c r="D18" s="4">
        <v>175138.87</v>
      </c>
      <c r="E18" s="12"/>
      <c r="F18" s="37">
        <f>SUM(F20:F23)</f>
        <v>175886.57</v>
      </c>
      <c r="H18" s="37">
        <f>SUM(H20:H23)</f>
        <v>179404.3014</v>
      </c>
      <c r="I18" s="29">
        <f>H18-F18</f>
        <v>3517.7313999999897</v>
      </c>
      <c r="J18" s="46">
        <f>I18/F18</f>
        <v>1.9999999999999941E-2</v>
      </c>
      <c r="L18" s="37">
        <f>SUM(L20:L23)</f>
        <v>221103.68</v>
      </c>
    </row>
    <row r="19" spans="1:12" x14ac:dyDescent="0.25">
      <c r="A19" s="1"/>
      <c r="B19" s="5"/>
      <c r="C19" s="1"/>
      <c r="D19" s="1"/>
      <c r="E19" s="2"/>
      <c r="F19" s="28"/>
      <c r="H19" s="28"/>
      <c r="L19" s="49"/>
    </row>
    <row r="20" spans="1:12" x14ac:dyDescent="0.25">
      <c r="A20" s="1" t="s">
        <v>7</v>
      </c>
      <c r="B20" s="5">
        <v>1</v>
      </c>
      <c r="C20" s="1"/>
      <c r="D20" s="8">
        <v>72922.87</v>
      </c>
      <c r="E20" s="2"/>
      <c r="F20" s="28">
        <v>65324.06</v>
      </c>
      <c r="H20" s="28">
        <f>F20*1.02</f>
        <v>66630.541199999992</v>
      </c>
      <c r="I20" s="29">
        <f>H20-F20</f>
        <v>1306.4811999999947</v>
      </c>
      <c r="J20" s="46">
        <f>I20/F20</f>
        <v>1.9999999999999921E-2</v>
      </c>
      <c r="L20" s="49">
        <v>78000</v>
      </c>
    </row>
    <row r="21" spans="1:12" x14ac:dyDescent="0.25">
      <c r="A21" s="1" t="s">
        <v>8</v>
      </c>
      <c r="B21" s="5">
        <v>1</v>
      </c>
      <c r="C21" s="1"/>
      <c r="D21" s="8">
        <v>41616</v>
      </c>
      <c r="E21" s="2"/>
      <c r="F21" s="28">
        <v>42448.32</v>
      </c>
      <c r="H21" s="28">
        <f>F21*1.02</f>
        <v>43297.286399999997</v>
      </c>
      <c r="I21" s="29">
        <f>H21-F21</f>
        <v>848.96639999999752</v>
      </c>
      <c r="J21" s="46">
        <f>I21/F21</f>
        <v>1.9999999999999941E-2</v>
      </c>
      <c r="L21" s="49">
        <v>62200</v>
      </c>
    </row>
    <row r="22" spans="1:12" x14ac:dyDescent="0.25">
      <c r="A22" s="20" t="s">
        <v>64</v>
      </c>
      <c r="B22" s="19">
        <v>1</v>
      </c>
      <c r="C22" s="1"/>
      <c r="D22" s="19"/>
      <c r="E22" s="2"/>
      <c r="F22" s="28">
        <v>36000</v>
      </c>
      <c r="H22" s="28">
        <f>F22*1.02</f>
        <v>36720</v>
      </c>
      <c r="I22" s="29">
        <f>H22-F22</f>
        <v>720</v>
      </c>
      <c r="J22" s="46">
        <f>I22/F22</f>
        <v>0.02</v>
      </c>
      <c r="L22" s="49">
        <v>42506.879999999997</v>
      </c>
    </row>
    <row r="23" spans="1:12" x14ac:dyDescent="0.25">
      <c r="A23" s="1" t="s">
        <v>44</v>
      </c>
      <c r="B23" s="7">
        <v>1</v>
      </c>
      <c r="C23" s="1"/>
      <c r="D23" s="33">
        <v>31484.5</v>
      </c>
      <c r="E23" s="2"/>
      <c r="F23" s="28">
        <v>32114.19</v>
      </c>
      <c r="H23" s="28">
        <f>F23*1.02</f>
        <v>32756.4738</v>
      </c>
      <c r="I23" s="29">
        <f>H23-F23</f>
        <v>642.28380000000107</v>
      </c>
      <c r="J23" s="46">
        <f>I23/F23</f>
        <v>2.0000000000000035E-2</v>
      </c>
      <c r="L23" s="49">
        <v>38396.800000000003</v>
      </c>
    </row>
    <row r="24" spans="1:12" x14ac:dyDescent="0.25">
      <c r="A24" s="1"/>
      <c r="B24" s="38">
        <f>SUM(B20:B23)</f>
        <v>4</v>
      </c>
      <c r="C24" s="1"/>
      <c r="D24" s="8"/>
      <c r="E24" s="2"/>
      <c r="F24" s="28"/>
      <c r="H24" s="28"/>
      <c r="L24" s="49"/>
    </row>
    <row r="25" spans="1:12" x14ac:dyDescent="0.25">
      <c r="A25" s="1"/>
      <c r="B25" s="1"/>
      <c r="C25" s="1"/>
      <c r="D25" s="2"/>
      <c r="E25" s="2"/>
      <c r="F25" s="28"/>
      <c r="H25" s="28"/>
      <c r="L25" s="49"/>
    </row>
    <row r="26" spans="1:12" x14ac:dyDescent="0.25">
      <c r="A26" s="3" t="s">
        <v>9</v>
      </c>
      <c r="B26" s="1"/>
      <c r="C26" s="3" t="s">
        <v>1</v>
      </c>
      <c r="D26" s="9">
        <v>1627757.86</v>
      </c>
      <c r="E26" s="2"/>
      <c r="F26" s="37">
        <f>F28+F30+(F31*$B31)+(F32*$B32)+(F34*$B34)+(F35*$B35)+(F36*$B36)+(19.37*6*30*52)</f>
        <v>1811631.0699999998</v>
      </c>
      <c r="H26" s="37">
        <f>H28+H30+(H31*$B31)+(H32*$B32)+(H34*$B34)+(H35*$B35)+(H36*$B36)+(H37*B37)+65000</f>
        <v>1727934.4274000002</v>
      </c>
      <c r="I26" s="29">
        <f>H26-F26</f>
        <v>-83696.642599999672</v>
      </c>
      <c r="J26" s="46">
        <f>I26/F26</f>
        <v>-4.6199606523639317E-2</v>
      </c>
      <c r="L26" s="37">
        <f>L28+L30+(L31*$B31)+(L32*$B32)+(L34*$B34)+(L35*$B35)+(L36*$B36)+(L37*$B37)+65000+L29</f>
        <v>1802580.52</v>
      </c>
    </row>
    <row r="27" spans="1:12" x14ac:dyDescent="0.25">
      <c r="A27" s="1"/>
      <c r="B27" s="1"/>
      <c r="C27" s="1"/>
      <c r="D27" s="2"/>
      <c r="E27" s="2"/>
      <c r="F27" s="28"/>
      <c r="H27" s="28"/>
      <c r="L27" s="49"/>
    </row>
    <row r="28" spans="1:12" x14ac:dyDescent="0.25">
      <c r="A28" s="1" t="s">
        <v>10</v>
      </c>
      <c r="B28" s="5">
        <v>1</v>
      </c>
      <c r="C28" s="1"/>
      <c r="D28" s="8">
        <v>73294.41</v>
      </c>
      <c r="E28" s="2"/>
      <c r="F28" s="28">
        <v>74760.3</v>
      </c>
      <c r="H28" s="28">
        <f>F28*1.02</f>
        <v>76255.506000000008</v>
      </c>
      <c r="I28" s="29">
        <f>H28-F28</f>
        <v>1495.2060000000056</v>
      </c>
      <c r="J28" s="46">
        <f>I28/F28</f>
        <v>2.0000000000000073E-2</v>
      </c>
      <c r="L28" s="49">
        <v>80891.850000000006</v>
      </c>
    </row>
    <row r="29" spans="1:12" x14ac:dyDescent="0.25">
      <c r="A29" s="1" t="s">
        <v>69</v>
      </c>
      <c r="B29" s="5">
        <v>0.5</v>
      </c>
      <c r="C29" s="1"/>
      <c r="D29" s="8"/>
      <c r="E29" s="2"/>
      <c r="F29" s="28"/>
      <c r="H29" s="28"/>
      <c r="I29" s="29"/>
      <c r="J29" s="46"/>
      <c r="L29" s="49">
        <v>33750</v>
      </c>
    </row>
    <row r="30" spans="1:12" x14ac:dyDescent="0.25">
      <c r="A30" s="1" t="s">
        <v>11</v>
      </c>
      <c r="B30" s="5">
        <v>0.5</v>
      </c>
      <c r="C30" s="1"/>
      <c r="D30" s="5">
        <v>17874.41</v>
      </c>
      <c r="E30" s="2"/>
      <c r="F30" s="28">
        <v>18231.900000000001</v>
      </c>
      <c r="H30" s="28">
        <f>F30*1.02</f>
        <v>18596.538</v>
      </c>
      <c r="I30" s="29">
        <f>H30-F30</f>
        <v>364.63799999999901</v>
      </c>
      <c r="J30" s="46">
        <f>I30/F30</f>
        <v>1.9999999999999945E-2</v>
      </c>
      <c r="L30" s="49">
        <v>21320</v>
      </c>
    </row>
    <row r="31" spans="1:12" x14ac:dyDescent="0.25">
      <c r="A31" s="1" t="s">
        <v>12</v>
      </c>
      <c r="B31" s="5">
        <v>4</v>
      </c>
      <c r="C31" s="1"/>
      <c r="D31" s="5">
        <v>58013.79</v>
      </c>
      <c r="E31" s="2"/>
      <c r="F31" s="28">
        <v>59174.07</v>
      </c>
      <c r="H31" s="28">
        <f>F31*1.02</f>
        <v>60357.551400000004</v>
      </c>
      <c r="I31" s="29">
        <f>H31-F31</f>
        <v>1183.4814000000042</v>
      </c>
      <c r="J31" s="46">
        <f>I31/F31</f>
        <v>2.000000000000007E-2</v>
      </c>
      <c r="L31" s="49">
        <v>61853.84</v>
      </c>
    </row>
    <row r="32" spans="1:12" x14ac:dyDescent="0.25">
      <c r="A32" s="1" t="s">
        <v>13</v>
      </c>
      <c r="B32" s="5">
        <v>8</v>
      </c>
      <c r="C32" s="1"/>
      <c r="D32" s="5">
        <v>55314.239999999998</v>
      </c>
      <c r="E32" s="2"/>
      <c r="F32" s="28">
        <v>56420.52</v>
      </c>
      <c r="H32" s="28">
        <f>F32*1.02</f>
        <v>57548.930399999997</v>
      </c>
      <c r="I32" s="29">
        <f>H32-F32</f>
        <v>1128.4104000000007</v>
      </c>
      <c r="J32" s="46">
        <f>I32/F32</f>
        <v>2.0000000000000014E-2</v>
      </c>
      <c r="L32" s="49">
        <v>58593.91</v>
      </c>
    </row>
    <row r="33" spans="1:12" x14ac:dyDescent="0.25">
      <c r="A33" s="1" t="s">
        <v>14</v>
      </c>
      <c r="B33" s="5"/>
      <c r="C33" s="1"/>
      <c r="D33" s="5"/>
      <c r="E33" s="2"/>
      <c r="F33" s="28"/>
      <c r="H33" s="28"/>
      <c r="L33" s="49"/>
    </row>
    <row r="34" spans="1:12" x14ac:dyDescent="0.25">
      <c r="A34" s="1" t="s">
        <v>15</v>
      </c>
      <c r="B34" s="5">
        <v>13</v>
      </c>
      <c r="C34" s="1"/>
      <c r="D34" s="5">
        <v>53535.88</v>
      </c>
      <c r="E34" s="2"/>
      <c r="F34" s="28">
        <v>54606.6</v>
      </c>
      <c r="H34" s="28">
        <f>F34*1.02</f>
        <v>55698.731999999996</v>
      </c>
      <c r="I34" s="29">
        <f>H34-F34</f>
        <v>1092.1319999999978</v>
      </c>
      <c r="J34" s="46">
        <f>I34/F34</f>
        <v>1.9999999999999959E-2</v>
      </c>
      <c r="L34" s="49">
        <v>56668.959999999999</v>
      </c>
    </row>
    <row r="35" spans="1:12" x14ac:dyDescent="0.25">
      <c r="A35" s="1" t="s">
        <v>16</v>
      </c>
      <c r="B35" s="5">
        <v>2</v>
      </c>
      <c r="C35" s="1"/>
      <c r="D35" s="5">
        <v>46660.68</v>
      </c>
      <c r="E35" s="2"/>
      <c r="F35" s="28">
        <v>47593.89</v>
      </c>
      <c r="H35" s="28">
        <f>F35*1.02</f>
        <v>48545.767800000001</v>
      </c>
      <c r="I35" s="29">
        <f>H35-F35</f>
        <v>951.87780000000203</v>
      </c>
      <c r="J35" s="46">
        <f>I35/F35</f>
        <v>2.0000000000000042E-2</v>
      </c>
      <c r="L35" s="49">
        <v>50363.12</v>
      </c>
    </row>
    <row r="36" spans="1:12" x14ac:dyDescent="0.25">
      <c r="A36" s="1" t="s">
        <v>17</v>
      </c>
      <c r="B36" s="5">
        <v>1</v>
      </c>
      <c r="C36" s="1"/>
      <c r="D36" s="5">
        <v>43334.95</v>
      </c>
      <c r="E36" s="2"/>
      <c r="F36" s="28">
        <v>44201.65</v>
      </c>
      <c r="H36" s="28">
        <f>F36*1.02</f>
        <v>45085.683000000005</v>
      </c>
      <c r="I36" s="29">
        <f>H36-F36</f>
        <v>884.03300000000309</v>
      </c>
      <c r="J36" s="46">
        <f>I36/F36</f>
        <v>2.000000000000007E-2</v>
      </c>
      <c r="L36" s="49">
        <v>48029.31</v>
      </c>
    </row>
    <row r="37" spans="1:12" x14ac:dyDescent="0.25">
      <c r="A37" s="1" t="s">
        <v>18</v>
      </c>
      <c r="B37" s="50">
        <v>0</v>
      </c>
      <c r="C37" s="1"/>
      <c r="D37" s="5">
        <v>42318.27</v>
      </c>
      <c r="E37" s="2"/>
      <c r="F37" s="28">
        <v>43164.639999999999</v>
      </c>
      <c r="H37" s="28">
        <f>F37*1.02</f>
        <v>44027.932800000002</v>
      </c>
      <c r="I37" s="29">
        <f>H37-F37</f>
        <v>863.2928000000029</v>
      </c>
      <c r="J37" s="46">
        <f>I37/F37</f>
        <v>2.0000000000000066E-2</v>
      </c>
      <c r="L37" s="49">
        <v>45990.48</v>
      </c>
    </row>
    <row r="38" spans="1:12" x14ac:dyDescent="0.25">
      <c r="A38" s="1" t="s">
        <v>41</v>
      </c>
      <c r="B38" s="7">
        <v>6</v>
      </c>
      <c r="C38" s="3"/>
      <c r="D38" s="18" t="s">
        <v>45</v>
      </c>
      <c r="E38" s="2"/>
      <c r="F38" s="30" t="s">
        <v>49</v>
      </c>
      <c r="H38" s="30" t="s">
        <v>60</v>
      </c>
      <c r="L38" s="51">
        <v>20.57</v>
      </c>
    </row>
    <row r="39" spans="1:12" x14ac:dyDescent="0.25">
      <c r="A39" s="1"/>
      <c r="B39" s="9">
        <f>SUM(B28:B38)</f>
        <v>36</v>
      </c>
      <c r="C39" s="1"/>
      <c r="D39" s="5"/>
      <c r="E39" s="2"/>
      <c r="F39" s="28"/>
      <c r="H39" s="28"/>
      <c r="L39" s="49"/>
    </row>
    <row r="40" spans="1:12" x14ac:dyDescent="0.25">
      <c r="A40" s="1"/>
      <c r="B40" s="1"/>
      <c r="C40" s="1"/>
      <c r="D40" s="5"/>
      <c r="E40" s="2"/>
      <c r="F40" s="28"/>
      <c r="H40" s="28"/>
      <c r="L40" s="49"/>
    </row>
    <row r="41" spans="1:12" x14ac:dyDescent="0.25">
      <c r="A41" s="3" t="s">
        <v>19</v>
      </c>
      <c r="B41" s="1"/>
      <c r="C41" s="3" t="s">
        <v>1</v>
      </c>
      <c r="D41" s="9">
        <v>2101728.33</v>
      </c>
      <c r="E41" s="2"/>
      <c r="F41" s="37">
        <f>F43+(F44*$B44)+(F46*$B46)+(F49*$B49)+(F50*$B50)+(F51*$B51)+(F52*$B52)</f>
        <v>1926625.73</v>
      </c>
      <c r="H41" s="37">
        <f>H43+(H44*$B44)+(H46*$B46)+(H49*$B49)+(H50*$B50)+(H51*$B51)+(H52*$B52)</f>
        <v>1965158.2446000001</v>
      </c>
      <c r="I41" s="29">
        <f>H41-F41</f>
        <v>38532.514600000111</v>
      </c>
      <c r="J41" s="46">
        <f>I41/F41</f>
        <v>2.0000000000000059E-2</v>
      </c>
      <c r="L41" s="37">
        <f>L43+(L44*$B44)+(L46*$B46)+(L49*$B49)+(L50*$B50)+(L51*$B51)+(L52*$B52)+(B45*L45)+(B48*L48)</f>
        <v>2625417.6</v>
      </c>
    </row>
    <row r="42" spans="1:12" x14ac:dyDescent="0.25">
      <c r="A42" s="1"/>
      <c r="B42" s="1"/>
      <c r="C42" s="1"/>
      <c r="D42" s="5"/>
      <c r="E42" s="2"/>
      <c r="F42" s="28"/>
      <c r="H42" s="28"/>
      <c r="L42" s="49"/>
    </row>
    <row r="43" spans="1:12" x14ac:dyDescent="0.25">
      <c r="A43" s="1" t="s">
        <v>70</v>
      </c>
      <c r="B43" s="5">
        <v>1</v>
      </c>
      <c r="C43" s="10"/>
      <c r="D43" s="8">
        <v>78540</v>
      </c>
      <c r="E43" s="11"/>
      <c r="F43" s="28">
        <v>80110.8</v>
      </c>
      <c r="H43" s="28">
        <f>F43*1.02</f>
        <v>81713.016000000003</v>
      </c>
      <c r="I43" s="29">
        <f>H43-F43</f>
        <v>1602.2160000000003</v>
      </c>
      <c r="J43" s="46">
        <f>I43/F43</f>
        <v>2.0000000000000004E-2</v>
      </c>
      <c r="L43" s="49">
        <v>75296</v>
      </c>
    </row>
    <row r="44" spans="1:12" x14ac:dyDescent="0.25">
      <c r="A44" s="1" t="s">
        <v>13</v>
      </c>
      <c r="B44" s="5">
        <v>1</v>
      </c>
      <c r="C44" s="10"/>
      <c r="D44" s="8">
        <v>60825.47</v>
      </c>
      <c r="E44" s="11"/>
      <c r="F44" s="28">
        <v>62041.98</v>
      </c>
      <c r="H44" s="28">
        <f>F44*1.02</f>
        <v>63282.819600000003</v>
      </c>
      <c r="I44" s="29">
        <f>H44-F44</f>
        <v>1240.8395999999993</v>
      </c>
      <c r="J44" s="46">
        <f>I44/F44</f>
        <v>1.999999999999999E-2</v>
      </c>
      <c r="L44" s="49">
        <v>71656</v>
      </c>
    </row>
    <row r="45" spans="1:12" x14ac:dyDescent="0.25">
      <c r="A45" s="1" t="s">
        <v>67</v>
      </c>
      <c r="B45" s="5">
        <v>2</v>
      </c>
      <c r="C45" s="10"/>
      <c r="D45" s="8"/>
      <c r="E45" s="11"/>
      <c r="F45" s="28"/>
      <c r="H45" s="28"/>
      <c r="I45" s="29"/>
      <c r="J45" s="46"/>
      <c r="L45" s="49">
        <v>69056</v>
      </c>
    </row>
    <row r="46" spans="1:12" x14ac:dyDescent="0.25">
      <c r="A46" s="1" t="s">
        <v>51</v>
      </c>
      <c r="B46" s="5">
        <v>5</v>
      </c>
      <c r="C46" s="10"/>
      <c r="D46" s="8">
        <v>55480.2</v>
      </c>
      <c r="E46" s="11"/>
      <c r="F46" s="28">
        <v>56589.8</v>
      </c>
      <c r="H46" s="28">
        <f>F46*1.02</f>
        <v>57721.596000000005</v>
      </c>
      <c r="I46" s="29">
        <f>H46-F46</f>
        <v>1131.7960000000021</v>
      </c>
      <c r="J46" s="46">
        <f>I46/F46</f>
        <v>2.0000000000000035E-2</v>
      </c>
      <c r="L46" s="49">
        <v>66664</v>
      </c>
    </row>
    <row r="47" spans="1:12" x14ac:dyDescent="0.25">
      <c r="A47" s="1" t="s">
        <v>20</v>
      </c>
      <c r="B47" s="5"/>
      <c r="C47" s="10"/>
      <c r="D47" s="1"/>
      <c r="E47" s="11"/>
      <c r="F47" s="28"/>
      <c r="H47" s="28"/>
      <c r="L47" s="49"/>
    </row>
    <row r="48" spans="1:12" x14ac:dyDescent="0.25">
      <c r="A48" s="10" t="s">
        <v>71</v>
      </c>
      <c r="B48" s="5">
        <v>4</v>
      </c>
      <c r="C48" s="10"/>
      <c r="D48" s="1"/>
      <c r="E48" s="11"/>
      <c r="F48" s="28"/>
      <c r="H48" s="28"/>
      <c r="L48" s="49">
        <v>66456</v>
      </c>
    </row>
    <row r="49" spans="1:12" x14ac:dyDescent="0.25">
      <c r="A49" s="1" t="s">
        <v>15</v>
      </c>
      <c r="B49" s="26">
        <v>11</v>
      </c>
      <c r="C49" s="23"/>
      <c r="D49" s="8">
        <v>52813.98</v>
      </c>
      <c r="E49" s="11"/>
      <c r="F49" s="28">
        <v>53870.26</v>
      </c>
      <c r="H49" s="28">
        <f>F49*1.02</f>
        <v>54947.665200000003</v>
      </c>
      <c r="I49" s="29">
        <f>H49-F49</f>
        <v>1077.4052000000011</v>
      </c>
      <c r="J49" s="46">
        <f>I49/F49</f>
        <v>2.0000000000000018E-2</v>
      </c>
      <c r="L49" s="49">
        <v>64376</v>
      </c>
    </row>
    <row r="50" spans="1:12" x14ac:dyDescent="0.25">
      <c r="A50" s="1" t="s">
        <v>16</v>
      </c>
      <c r="B50" s="5">
        <v>2</v>
      </c>
      <c r="C50" s="10"/>
      <c r="D50" s="8">
        <v>47368.57</v>
      </c>
      <c r="E50" s="11"/>
      <c r="F50" s="28">
        <v>48315.94</v>
      </c>
      <c r="H50" s="28">
        <f>F50*1.02</f>
        <v>49282.258800000003</v>
      </c>
      <c r="I50" s="29">
        <f>H50-F50</f>
        <v>966.31880000000092</v>
      </c>
      <c r="J50" s="46">
        <f>I50/F50</f>
        <v>2.0000000000000018E-2</v>
      </c>
      <c r="L50" s="49">
        <v>56513.599999999999</v>
      </c>
    </row>
    <row r="51" spans="1:12" x14ac:dyDescent="0.25">
      <c r="A51" s="1" t="s">
        <v>17</v>
      </c>
      <c r="B51" s="5">
        <v>7</v>
      </c>
      <c r="C51" s="10"/>
      <c r="D51" s="8">
        <v>45342.62</v>
      </c>
      <c r="E51" s="11"/>
      <c r="F51" s="28">
        <v>46249.47</v>
      </c>
      <c r="H51" s="28">
        <f>F51*1.02</f>
        <v>47174.4594</v>
      </c>
      <c r="I51" s="29">
        <f>H51-F51</f>
        <v>924.98939999999857</v>
      </c>
      <c r="J51" s="46">
        <f>I51/F51</f>
        <v>1.9999999999999969E-2</v>
      </c>
      <c r="L51" s="49">
        <v>52270.400000000001</v>
      </c>
    </row>
    <row r="52" spans="1:12" x14ac:dyDescent="0.25">
      <c r="A52" s="1" t="s">
        <v>18</v>
      </c>
      <c r="B52" s="7">
        <v>11</v>
      </c>
      <c r="C52" s="10"/>
      <c r="D52" s="5">
        <v>43544.82</v>
      </c>
      <c r="E52" s="11"/>
      <c r="F52" s="28">
        <v>44415.72</v>
      </c>
      <c r="H52" s="28">
        <f>F52*1.02</f>
        <v>45304.034400000004</v>
      </c>
      <c r="I52" s="29">
        <f>H52-F52</f>
        <v>888.31440000000293</v>
      </c>
      <c r="J52" s="46">
        <f>I52/F52</f>
        <v>2.0000000000000066E-2</v>
      </c>
      <c r="L52" s="49">
        <v>50377.599999999999</v>
      </c>
    </row>
    <row r="53" spans="1:12" x14ac:dyDescent="0.25">
      <c r="A53" s="1"/>
      <c r="B53" s="39">
        <f>SUM(B43:B52)</f>
        <v>44</v>
      </c>
      <c r="C53" s="25"/>
      <c r="D53" s="5"/>
      <c r="E53" s="2"/>
      <c r="F53" s="28"/>
      <c r="H53" s="28"/>
      <c r="L53" s="49"/>
    </row>
    <row r="54" spans="1:12" x14ac:dyDescent="0.25">
      <c r="A54" s="1"/>
      <c r="B54" s="1"/>
      <c r="C54" s="1"/>
      <c r="D54" s="1"/>
      <c r="E54" s="2"/>
      <c r="F54" s="28"/>
      <c r="H54" s="28"/>
      <c r="L54" s="49"/>
    </row>
    <row r="55" spans="1:12" x14ac:dyDescent="0.25">
      <c r="A55" s="3" t="s">
        <v>21</v>
      </c>
      <c r="B55" s="1"/>
      <c r="C55" s="3" t="s">
        <v>1</v>
      </c>
      <c r="D55" s="14">
        <v>101344.81</v>
      </c>
      <c r="E55" s="12" t="s">
        <v>39</v>
      </c>
      <c r="F55" s="37">
        <f>F58+(F60*$B60*40*52)</f>
        <v>96918.299999999988</v>
      </c>
      <c r="H55" s="37">
        <f>H58+(H60*$B60*40*52)</f>
        <v>98842.937999999995</v>
      </c>
      <c r="I55" s="29">
        <f>H55-F55</f>
        <v>1924.6380000000063</v>
      </c>
      <c r="J55" s="46">
        <f>I55/F55</f>
        <v>1.9858354923683211E-2</v>
      </c>
      <c r="L55" s="37">
        <f>L58+(L60*$B60*40*52)+L57</f>
        <v>151540.40000000002</v>
      </c>
    </row>
    <row r="56" spans="1:12" x14ac:dyDescent="0.25">
      <c r="A56" s="1"/>
      <c r="B56" s="1"/>
      <c r="C56" s="1"/>
      <c r="D56" s="1"/>
      <c r="E56" s="2"/>
      <c r="F56" s="28"/>
      <c r="H56" s="28"/>
      <c r="L56" s="49"/>
    </row>
    <row r="57" spans="1:12" x14ac:dyDescent="0.25">
      <c r="A57" s="1" t="s">
        <v>69</v>
      </c>
      <c r="B57" s="5">
        <v>0.5</v>
      </c>
      <c r="C57" s="1"/>
      <c r="D57" s="8"/>
      <c r="E57" s="2"/>
      <c r="F57" s="28"/>
      <c r="H57" s="28"/>
      <c r="I57" s="29"/>
      <c r="J57" s="46"/>
      <c r="L57" s="49">
        <v>33750</v>
      </c>
    </row>
    <row r="58" spans="1:12" x14ac:dyDescent="0.25">
      <c r="A58" s="1" t="s">
        <v>11</v>
      </c>
      <c r="B58" s="5">
        <v>0.5</v>
      </c>
      <c r="C58" s="1"/>
      <c r="D58" s="5">
        <v>17874.41</v>
      </c>
      <c r="E58" s="2"/>
      <c r="F58" s="28">
        <v>18231.900000000001</v>
      </c>
      <c r="H58" s="28">
        <f>F58*1.02</f>
        <v>18596.538</v>
      </c>
      <c r="I58" s="29">
        <f>H58-F58</f>
        <v>364.63799999999901</v>
      </c>
      <c r="J58" s="46">
        <f>I58/F58</f>
        <v>1.9999999999999945E-2</v>
      </c>
      <c r="L58" s="49">
        <v>21320</v>
      </c>
    </row>
    <row r="59" spans="1:12" hidden="1" x14ac:dyDescent="0.25">
      <c r="A59" s="36" t="s">
        <v>22</v>
      </c>
      <c r="B59" s="5">
        <v>0</v>
      </c>
      <c r="C59" s="1"/>
      <c r="D59" s="34">
        <v>14</v>
      </c>
      <c r="E59" s="12"/>
      <c r="F59" s="35">
        <f t="shared" ref="F59" si="0">D59*1.02</f>
        <v>14.280000000000001</v>
      </c>
      <c r="H59" s="35">
        <f>G59*1.02</f>
        <v>0</v>
      </c>
      <c r="I59" s="29">
        <f>H59-F59</f>
        <v>-14.280000000000001</v>
      </c>
      <c r="J59" s="46">
        <f>I59/F59</f>
        <v>-1</v>
      </c>
      <c r="L59" s="49">
        <f t="shared" ref="L59" si="1">H59*1.02</f>
        <v>0</v>
      </c>
    </row>
    <row r="60" spans="1:12" x14ac:dyDescent="0.25">
      <c r="A60" s="1" t="s">
        <v>22</v>
      </c>
      <c r="B60" s="5">
        <v>3</v>
      </c>
      <c r="C60" s="1"/>
      <c r="D60" s="33">
        <v>12.36</v>
      </c>
      <c r="E60" s="12"/>
      <c r="F60" s="28">
        <v>12.61</v>
      </c>
      <c r="H60" s="28">
        <v>12.86</v>
      </c>
      <c r="I60" s="29">
        <f>H60-F60</f>
        <v>0.25</v>
      </c>
      <c r="J60" s="46">
        <f>I60/F60</f>
        <v>1.9825535289452818E-2</v>
      </c>
      <c r="L60" s="49">
        <v>15.46</v>
      </c>
    </row>
    <row r="61" spans="1:12" x14ac:dyDescent="0.25">
      <c r="A61" s="1"/>
      <c r="B61" s="40">
        <f>SUM(B58:B60)</f>
        <v>3.5</v>
      </c>
      <c r="C61" s="1"/>
      <c r="D61" s="1"/>
      <c r="E61" s="2"/>
      <c r="F61" s="28"/>
      <c r="H61" s="28"/>
      <c r="L61" s="49"/>
    </row>
    <row r="62" spans="1:12" x14ac:dyDescent="0.25">
      <c r="A62" s="1"/>
      <c r="B62" s="1"/>
      <c r="C62" s="1"/>
      <c r="D62" s="1"/>
      <c r="E62" s="2"/>
      <c r="F62" s="28"/>
      <c r="H62" s="28"/>
      <c r="L62" s="49"/>
    </row>
    <row r="63" spans="1:12" x14ac:dyDescent="0.25">
      <c r="A63" s="3" t="s">
        <v>23</v>
      </c>
      <c r="B63" s="1"/>
      <c r="C63" s="3" t="s">
        <v>1</v>
      </c>
      <c r="D63" s="14">
        <v>387840</v>
      </c>
      <c r="E63" s="12" t="s">
        <v>39</v>
      </c>
      <c r="F63" s="37" t="e">
        <f>F65+F66+F67+F69+#REF!+F70</f>
        <v>#REF!</v>
      </c>
      <c r="H63" s="37" t="e">
        <f>H65+H66+H67+H69+#REF!+#REF!+H70</f>
        <v>#REF!</v>
      </c>
      <c r="I63" s="29" t="e">
        <f>H63-F63</f>
        <v>#REF!</v>
      </c>
      <c r="J63" s="46" t="e">
        <f>I63/F63</f>
        <v>#REF!</v>
      </c>
      <c r="L63" s="37">
        <f>L65+L66+L67+L69+L70</f>
        <v>260777.07</v>
      </c>
    </row>
    <row r="64" spans="1:12" x14ac:dyDescent="0.25">
      <c r="A64" s="1"/>
      <c r="B64" s="1"/>
      <c r="C64" s="1"/>
      <c r="D64" s="1"/>
      <c r="E64" s="2"/>
      <c r="F64" s="28" t="s">
        <v>55</v>
      </c>
      <c r="H64" s="28" t="s">
        <v>55</v>
      </c>
      <c r="L64" s="49"/>
    </row>
    <row r="65" spans="1:12" x14ac:dyDescent="0.25">
      <c r="A65" s="1" t="s">
        <v>66</v>
      </c>
      <c r="B65" s="5">
        <v>1</v>
      </c>
      <c r="C65" s="1"/>
      <c r="D65" s="15">
        <v>68850</v>
      </c>
      <c r="E65" s="16" t="s">
        <v>39</v>
      </c>
      <c r="F65" s="28">
        <v>70227</v>
      </c>
      <c r="H65" s="28">
        <f>F65*1.02</f>
        <v>71631.540000000008</v>
      </c>
      <c r="I65" s="29">
        <f t="shared" ref="I65:I69" si="2">H65-F65</f>
        <v>1404.5400000000081</v>
      </c>
      <c r="J65" s="46">
        <f t="shared" ref="J65:J69" si="3">I65/F65</f>
        <v>2.0000000000000115E-2</v>
      </c>
      <c r="L65" s="49">
        <v>84240</v>
      </c>
    </row>
    <row r="66" spans="1:12" x14ac:dyDescent="0.25">
      <c r="A66" s="1" t="s">
        <v>74</v>
      </c>
      <c r="B66" s="5">
        <v>1</v>
      </c>
      <c r="C66" s="1"/>
      <c r="D66" s="8">
        <v>41616</v>
      </c>
      <c r="E66" s="2"/>
      <c r="F66" s="28">
        <v>42448.32</v>
      </c>
      <c r="H66" s="28">
        <v>40000</v>
      </c>
      <c r="I66" s="29">
        <f t="shared" si="2"/>
        <v>-2448.3199999999997</v>
      </c>
      <c r="J66" s="46">
        <f t="shared" si="3"/>
        <v>-5.7677665452955496E-2</v>
      </c>
      <c r="L66" s="49">
        <v>55000</v>
      </c>
    </row>
    <row r="67" spans="1:12" x14ac:dyDescent="0.25">
      <c r="A67" s="1" t="s">
        <v>24</v>
      </c>
      <c r="B67" s="5">
        <v>1</v>
      </c>
      <c r="C67" s="1"/>
      <c r="D67" s="8">
        <v>48960</v>
      </c>
      <c r="E67" s="2"/>
      <c r="F67" s="28">
        <v>49939.199999999997</v>
      </c>
      <c r="H67" s="28">
        <f>F67*1.02</f>
        <v>50937.983999999997</v>
      </c>
      <c r="I67" s="29">
        <f t="shared" si="2"/>
        <v>998.78399999999965</v>
      </c>
      <c r="J67" s="46">
        <f t="shared" si="3"/>
        <v>1.9999999999999993E-2</v>
      </c>
      <c r="L67" s="49">
        <v>55000</v>
      </c>
    </row>
    <row r="68" spans="1:12" hidden="1" x14ac:dyDescent="0.25">
      <c r="A68" s="36" t="s">
        <v>50</v>
      </c>
      <c r="B68" s="5">
        <v>0</v>
      </c>
      <c r="C68" s="1"/>
      <c r="D68" s="8"/>
      <c r="E68" s="2"/>
      <c r="F68" s="35">
        <v>40000</v>
      </c>
      <c r="H68" s="28">
        <f>F68*1.02</f>
        <v>40800</v>
      </c>
      <c r="I68" s="29">
        <f t="shared" si="2"/>
        <v>800</v>
      </c>
      <c r="J68" s="46">
        <f t="shared" si="3"/>
        <v>0.02</v>
      </c>
      <c r="L68" s="49">
        <f t="shared" ref="L68" si="4">H68*1.035</f>
        <v>42228</v>
      </c>
    </row>
    <row r="69" spans="1:12" x14ac:dyDescent="0.25">
      <c r="A69" s="1" t="s">
        <v>50</v>
      </c>
      <c r="B69" s="5">
        <v>1</v>
      </c>
      <c r="C69" s="1"/>
      <c r="D69" s="8">
        <v>31018</v>
      </c>
      <c r="E69" s="2"/>
      <c r="F69" s="28">
        <v>31638.36</v>
      </c>
      <c r="H69" s="28">
        <v>35006.400000000001</v>
      </c>
      <c r="I69" s="29">
        <f t="shared" si="2"/>
        <v>3368.0400000000009</v>
      </c>
      <c r="J69" s="46">
        <f t="shared" si="3"/>
        <v>0.10645431684828167</v>
      </c>
      <c r="L69" s="49">
        <v>45217.07</v>
      </c>
    </row>
    <row r="70" spans="1:12" x14ac:dyDescent="0.25">
      <c r="A70" s="1" t="s">
        <v>40</v>
      </c>
      <c r="B70" s="7">
        <v>0.5</v>
      </c>
      <c r="C70" s="1"/>
      <c r="D70" s="8">
        <v>24992</v>
      </c>
      <c r="E70" s="2"/>
      <c r="F70" s="28">
        <v>30014.400000000001</v>
      </c>
      <c r="H70" s="28">
        <v>16000</v>
      </c>
      <c r="I70" s="29">
        <f>H70-F70</f>
        <v>-14014.400000000001</v>
      </c>
      <c r="J70" s="46">
        <f>I70/F70</f>
        <v>-0.46692254384562082</v>
      </c>
      <c r="L70" s="49">
        <v>21320</v>
      </c>
    </row>
    <row r="71" spans="1:12" x14ac:dyDescent="0.25">
      <c r="A71" s="1"/>
      <c r="B71" s="41">
        <f>SUM(B65:B70)</f>
        <v>4.5</v>
      </c>
      <c r="C71" s="10"/>
      <c r="D71" s="5"/>
      <c r="E71" s="2"/>
      <c r="F71" s="28"/>
      <c r="H71" s="28"/>
      <c r="L71" s="49"/>
    </row>
    <row r="72" spans="1:12" x14ac:dyDescent="0.25">
      <c r="A72" s="1"/>
      <c r="B72" s="5"/>
      <c r="C72" s="1"/>
      <c r="D72" s="1"/>
      <c r="E72" s="2"/>
      <c r="F72" s="28"/>
      <c r="H72" s="28"/>
      <c r="L72" s="49"/>
    </row>
    <row r="73" spans="1:12" x14ac:dyDescent="0.25">
      <c r="A73" s="3" t="s">
        <v>25</v>
      </c>
      <c r="B73" s="5"/>
      <c r="C73" s="3" t="s">
        <v>1</v>
      </c>
      <c r="D73" s="14">
        <v>853282.36</v>
      </c>
      <c r="E73" s="12" t="s">
        <v>39</v>
      </c>
      <c r="F73" s="37">
        <f>F75+(F76*40*52)+SUM(F77:F78)+(F79*$B79*40*52)+(F80*$B80*40*52)+(F81*$B81*40*52)+(F82*$B82*40*52)+(F83*$B83*40*52)+(F84*$B84*40*52)+(F85*$B85*40*12)</f>
        <v>785036.81</v>
      </c>
      <c r="H73" s="37">
        <f>H75+(H76*$B76*40*52)+SUM(H77:H78)+(H79*$B79*40*52)+(H80*$B80*40*52)+(H81*$B81*40*52)+(H82*$B82*40*52)+(H83*$B83*40*52)+(H84*$B84*40*52)+(H85*$B85*40*12)</f>
        <v>800793.38619999995</v>
      </c>
      <c r="I73" s="29">
        <f>H73-F73</f>
        <v>15756.576199999894</v>
      </c>
      <c r="J73" s="46">
        <f>I73/F73</f>
        <v>2.007113042253381E-2</v>
      </c>
      <c r="L73" s="37">
        <f>L75+(L76*$B76*40*52)+SUM(L77:L78)+(L79*$B79*40*52)+(L80*$B80*40*52)+(L81*$B81*40*52)+(L82*$B82*40*52)+(L83*$B83*40*52)+(L84*$B84*40*52)+(L85*$B85*40*12)</f>
        <v>926079.39999999979</v>
      </c>
    </row>
    <row r="74" spans="1:12" x14ac:dyDescent="0.25">
      <c r="A74" s="1"/>
      <c r="B74" s="1"/>
      <c r="C74" s="1"/>
      <c r="D74" s="1"/>
      <c r="E74" s="12"/>
      <c r="F74" s="28"/>
      <c r="H74" s="28"/>
      <c r="L74" s="49"/>
    </row>
    <row r="75" spans="1:12" x14ac:dyDescent="0.25">
      <c r="A75" s="1" t="s">
        <v>26</v>
      </c>
      <c r="B75" s="5">
        <v>1</v>
      </c>
      <c r="C75" s="1"/>
      <c r="D75" s="8">
        <v>67147.960000000006</v>
      </c>
      <c r="E75" s="12" t="s">
        <v>39</v>
      </c>
      <c r="F75" s="28">
        <v>68490.92</v>
      </c>
      <c r="H75" s="28">
        <f>F75*1.02</f>
        <v>69860.738400000002</v>
      </c>
      <c r="I75" s="29">
        <f t="shared" ref="I75:I85" si="5">H75-F75</f>
        <v>1369.8184000000037</v>
      </c>
      <c r="J75" s="46">
        <f t="shared" ref="J75:J85" si="6">I75/F75</f>
        <v>2.0000000000000056E-2</v>
      </c>
      <c r="L75" s="49">
        <v>84240</v>
      </c>
    </row>
    <row r="76" spans="1:12" x14ac:dyDescent="0.25">
      <c r="A76" s="1" t="s">
        <v>52</v>
      </c>
      <c r="B76" s="5">
        <v>1</v>
      </c>
      <c r="C76" s="1"/>
      <c r="D76" s="5">
        <v>17.170000000000002</v>
      </c>
      <c r="E76" s="12"/>
      <c r="F76" s="28">
        <v>17.510000000000002</v>
      </c>
      <c r="H76" s="28">
        <f>F76*1.02</f>
        <v>17.860200000000003</v>
      </c>
      <c r="I76" s="29">
        <f t="shared" si="5"/>
        <v>0.35020000000000095</v>
      </c>
      <c r="J76" s="46">
        <f t="shared" si="6"/>
        <v>2.0000000000000052E-2</v>
      </c>
      <c r="L76" s="49">
        <v>20.66</v>
      </c>
    </row>
    <row r="77" spans="1:12" x14ac:dyDescent="0.25">
      <c r="A77" s="1" t="s">
        <v>42</v>
      </c>
      <c r="B77" s="5">
        <v>1</v>
      </c>
      <c r="C77" s="1"/>
      <c r="D77" s="5">
        <v>51724.61</v>
      </c>
      <c r="E77" s="12"/>
      <c r="F77" s="28">
        <v>52759.1</v>
      </c>
      <c r="H77" s="28">
        <f>F77*1.02</f>
        <v>53814.281999999999</v>
      </c>
      <c r="I77" s="29">
        <f t="shared" si="5"/>
        <v>1055.1820000000007</v>
      </c>
      <c r="J77" s="46">
        <f t="shared" si="6"/>
        <v>2.0000000000000014E-2</v>
      </c>
      <c r="L77" s="49">
        <v>60310</v>
      </c>
    </row>
    <row r="78" spans="1:12" x14ac:dyDescent="0.25">
      <c r="A78" s="1" t="s">
        <v>43</v>
      </c>
      <c r="B78" s="5">
        <v>1</v>
      </c>
      <c r="C78" s="1"/>
      <c r="D78" s="5">
        <v>41880.379999999997</v>
      </c>
      <c r="E78" s="12"/>
      <c r="F78" s="28">
        <v>42717.99</v>
      </c>
      <c r="H78" s="28">
        <f>F78*1.02</f>
        <v>43572.349799999996</v>
      </c>
      <c r="I78" s="29">
        <f t="shared" si="5"/>
        <v>854.35979999999836</v>
      </c>
      <c r="J78" s="46">
        <f t="shared" si="6"/>
        <v>1.9999999999999962E-2</v>
      </c>
      <c r="L78" s="49">
        <v>49603</v>
      </c>
    </row>
    <row r="79" spans="1:12" x14ac:dyDescent="0.25">
      <c r="A79" s="1" t="s">
        <v>27</v>
      </c>
      <c r="B79" s="5">
        <v>6</v>
      </c>
      <c r="C79" s="10"/>
      <c r="D79" s="5">
        <v>19.43</v>
      </c>
      <c r="E79" s="12" t="s">
        <v>39</v>
      </c>
      <c r="F79" s="28">
        <v>19.82</v>
      </c>
      <c r="H79" s="28">
        <v>20.22</v>
      </c>
      <c r="I79" s="29">
        <f t="shared" si="5"/>
        <v>0.39999999999999858</v>
      </c>
      <c r="J79" s="46">
        <f t="shared" si="6"/>
        <v>2.0181634712411634E-2</v>
      </c>
      <c r="L79" s="49">
        <v>23.11</v>
      </c>
    </row>
    <row r="80" spans="1:12" x14ac:dyDescent="0.25">
      <c r="A80" s="1" t="s">
        <v>68</v>
      </c>
      <c r="B80" s="5">
        <v>1</v>
      </c>
      <c r="C80" s="10"/>
      <c r="D80" s="5">
        <v>20.12</v>
      </c>
      <c r="E80" s="12" t="s">
        <v>39</v>
      </c>
      <c r="F80" s="28">
        <v>20.52</v>
      </c>
      <c r="H80" s="28">
        <v>20.93</v>
      </c>
      <c r="I80" s="29">
        <f t="shared" si="5"/>
        <v>0.41000000000000014</v>
      </c>
      <c r="J80" s="46">
        <f t="shared" si="6"/>
        <v>1.9980506822612092E-2</v>
      </c>
      <c r="L80" s="49">
        <v>23.85</v>
      </c>
    </row>
    <row r="81" spans="1:12" x14ac:dyDescent="0.25">
      <c r="A81" s="1" t="s">
        <v>28</v>
      </c>
      <c r="B81" s="5">
        <v>1</v>
      </c>
      <c r="C81" s="1"/>
      <c r="D81" s="5">
        <v>20.45</v>
      </c>
      <c r="E81" s="12"/>
      <c r="F81" s="28">
        <v>20.86</v>
      </c>
      <c r="H81" s="28">
        <v>21.28</v>
      </c>
      <c r="I81" s="29">
        <f t="shared" si="5"/>
        <v>0.42000000000000171</v>
      </c>
      <c r="J81" s="46">
        <f t="shared" si="6"/>
        <v>2.0134228187919545E-2</v>
      </c>
      <c r="L81" s="49">
        <v>24.22</v>
      </c>
    </row>
    <row r="82" spans="1:12" x14ac:dyDescent="0.25">
      <c r="A82" s="1" t="s">
        <v>29</v>
      </c>
      <c r="B82" s="5">
        <v>2</v>
      </c>
      <c r="C82" s="1"/>
      <c r="D82" s="5">
        <v>18.98</v>
      </c>
      <c r="E82" s="12" t="s">
        <v>39</v>
      </c>
      <c r="F82" s="28">
        <v>19.36</v>
      </c>
      <c r="H82" s="28">
        <v>19.75</v>
      </c>
      <c r="I82" s="29">
        <f t="shared" si="5"/>
        <v>0.39000000000000057</v>
      </c>
      <c r="J82" s="46">
        <f t="shared" si="6"/>
        <v>2.0144628099173584E-2</v>
      </c>
      <c r="L82" s="49">
        <v>22.62</v>
      </c>
    </row>
    <row r="83" spans="1:12" x14ac:dyDescent="0.25">
      <c r="A83" s="1" t="s">
        <v>30</v>
      </c>
      <c r="B83" s="26">
        <v>1</v>
      </c>
      <c r="C83" s="23"/>
      <c r="D83" s="5">
        <v>18.53</v>
      </c>
      <c r="E83" s="12" t="s">
        <v>39</v>
      </c>
      <c r="F83" s="28">
        <v>18.91</v>
      </c>
      <c r="H83" s="28">
        <v>19.29</v>
      </c>
      <c r="I83" s="29">
        <f t="shared" si="5"/>
        <v>0.37999999999999901</v>
      </c>
      <c r="J83" s="46">
        <f t="shared" si="6"/>
        <v>2.0095187731359015E-2</v>
      </c>
      <c r="L83" s="49">
        <v>22.99</v>
      </c>
    </row>
    <row r="84" spans="1:12" x14ac:dyDescent="0.25">
      <c r="A84" s="1" t="s">
        <v>31</v>
      </c>
      <c r="B84" s="26">
        <v>4</v>
      </c>
      <c r="C84" s="23"/>
      <c r="D84" s="5">
        <v>12.36</v>
      </c>
      <c r="E84" s="12" t="s">
        <v>39</v>
      </c>
      <c r="F84" s="28">
        <v>12.61</v>
      </c>
      <c r="H84" s="28">
        <v>12.86</v>
      </c>
      <c r="I84" s="29">
        <f t="shared" si="5"/>
        <v>0.25</v>
      </c>
      <c r="J84" s="46">
        <f t="shared" si="6"/>
        <v>1.9825535289452818E-2</v>
      </c>
      <c r="L84" s="49">
        <v>15.46</v>
      </c>
    </row>
    <row r="85" spans="1:12" x14ac:dyDescent="0.25">
      <c r="A85" s="1" t="s">
        <v>33</v>
      </c>
      <c r="B85" s="7">
        <v>4</v>
      </c>
      <c r="C85" s="1"/>
      <c r="D85" s="5">
        <v>13.5</v>
      </c>
      <c r="E85" s="2"/>
      <c r="F85" s="28">
        <v>13.77</v>
      </c>
      <c r="H85" s="28">
        <v>14.05</v>
      </c>
      <c r="I85" s="29">
        <f t="shared" si="5"/>
        <v>0.28000000000000114</v>
      </c>
      <c r="J85" s="46">
        <f t="shared" si="6"/>
        <v>2.0334059549745907E-2</v>
      </c>
      <c r="L85" s="49">
        <v>15.63</v>
      </c>
    </row>
    <row r="86" spans="1:12" x14ac:dyDescent="0.25">
      <c r="A86" s="1"/>
      <c r="B86" s="42">
        <f>SUM(B75:B85)</f>
        <v>23</v>
      </c>
      <c r="C86" s="23"/>
      <c r="D86" s="1"/>
      <c r="E86" s="2"/>
      <c r="F86" s="28"/>
      <c r="H86" s="28"/>
      <c r="L86" s="49"/>
    </row>
    <row r="87" spans="1:12" x14ac:dyDescent="0.25">
      <c r="A87" s="1"/>
      <c r="B87" s="5"/>
      <c r="C87" s="1"/>
      <c r="D87" s="1"/>
      <c r="E87" s="2"/>
      <c r="F87" s="28"/>
      <c r="H87" s="28"/>
      <c r="L87" s="49"/>
    </row>
    <row r="88" spans="1:12" x14ac:dyDescent="0.25">
      <c r="A88" s="3" t="s">
        <v>53</v>
      </c>
      <c r="B88" s="5"/>
      <c r="C88" s="3" t="s">
        <v>1</v>
      </c>
      <c r="D88" s="14">
        <v>44740.800000000003</v>
      </c>
      <c r="E88" s="12" t="s">
        <v>39</v>
      </c>
      <c r="F88" s="37">
        <f>(F90*$B90*40*52)+(F91*$B91*40*12)+F92+(F93*$B93*40*52)</f>
        <v>136508.79999999999</v>
      </c>
      <c r="H88" s="37">
        <f>(H90*$B90*40*52)+(H91*$B91*40*12)+H92+(H93*$B93*40*52)</f>
        <v>139244.80000000002</v>
      </c>
      <c r="I88" s="29">
        <f>H88-F88</f>
        <v>2736.0000000000291</v>
      </c>
      <c r="J88" s="46">
        <f>I88/F88</f>
        <v>2.0042663916172654E-2</v>
      </c>
      <c r="L88" s="37">
        <f>(L90*$B90*40*52)+(L91*$B91*40*12)+L92+(L93*$B93*40*52)</f>
        <v>161298.95000000001</v>
      </c>
    </row>
    <row r="89" spans="1:12" x14ac:dyDescent="0.25">
      <c r="A89" s="1"/>
      <c r="B89" s="5"/>
      <c r="C89" s="1"/>
      <c r="D89" s="5"/>
      <c r="E89" s="2"/>
      <c r="F89" s="28"/>
      <c r="H89" s="28"/>
      <c r="L89" s="49"/>
    </row>
    <row r="90" spans="1:12" x14ac:dyDescent="0.25">
      <c r="A90" s="1" t="s">
        <v>57</v>
      </c>
      <c r="B90" s="6">
        <v>1</v>
      </c>
      <c r="C90" s="1"/>
      <c r="D90" s="26">
        <v>16.47</v>
      </c>
      <c r="E90" s="24"/>
      <c r="F90" s="28">
        <v>16.8</v>
      </c>
      <c r="H90" s="28">
        <f>F90*1.02</f>
        <v>17.136000000000003</v>
      </c>
      <c r="I90" s="29">
        <f>H90-F90</f>
        <v>0.33600000000000207</v>
      </c>
      <c r="J90" s="46">
        <f>I90/F90</f>
        <v>2.0000000000000122E-2</v>
      </c>
      <c r="L90" s="49">
        <v>19.91</v>
      </c>
    </row>
    <row r="91" spans="1:12" x14ac:dyDescent="0.25">
      <c r="A91" s="1" t="s">
        <v>58</v>
      </c>
      <c r="B91" s="6">
        <v>7</v>
      </c>
      <c r="C91" s="36"/>
      <c r="D91" s="5">
        <v>8.32</v>
      </c>
      <c r="E91" s="2"/>
      <c r="F91" s="43">
        <v>11</v>
      </c>
      <c r="H91" s="28">
        <f>F91*1.02</f>
        <v>11.22</v>
      </c>
      <c r="I91" s="29">
        <f>H91-F91</f>
        <v>0.22000000000000064</v>
      </c>
      <c r="J91" s="46">
        <f>I91/F91</f>
        <v>2.0000000000000059E-2</v>
      </c>
      <c r="L91" s="49">
        <v>13.52</v>
      </c>
    </row>
    <row r="92" spans="1:12" x14ac:dyDescent="0.25">
      <c r="A92" s="20" t="s">
        <v>47</v>
      </c>
      <c r="B92" s="19">
        <v>1</v>
      </c>
      <c r="C92" s="21"/>
      <c r="D92" s="15">
        <v>20800</v>
      </c>
      <c r="E92" s="2"/>
      <c r="F92" s="28">
        <f>D92*1.02</f>
        <v>21216</v>
      </c>
      <c r="H92" s="28">
        <f>F92*1.02</f>
        <v>21640.32</v>
      </c>
      <c r="I92" s="29">
        <f>H92-F92</f>
        <v>424.31999999999971</v>
      </c>
      <c r="J92" s="46">
        <f>I92/F92</f>
        <v>1.9999999999999987E-2</v>
      </c>
      <c r="L92" s="49">
        <v>24081.35</v>
      </c>
    </row>
    <row r="93" spans="1:12" x14ac:dyDescent="0.25">
      <c r="A93" s="1" t="s">
        <v>32</v>
      </c>
      <c r="B93" s="7">
        <v>1</v>
      </c>
      <c r="C93" s="1"/>
      <c r="D93" s="5">
        <v>20.45</v>
      </c>
      <c r="E93" s="12" t="s">
        <v>39</v>
      </c>
      <c r="F93" s="28">
        <v>20.86</v>
      </c>
      <c r="H93" s="28">
        <v>21.28</v>
      </c>
      <c r="I93" s="29">
        <f>H93-F93</f>
        <v>0.42000000000000171</v>
      </c>
      <c r="J93" s="46">
        <f>I93/F93</f>
        <v>2.0134228187919545E-2</v>
      </c>
      <c r="L93" s="49">
        <v>24.22</v>
      </c>
    </row>
    <row r="94" spans="1:12" x14ac:dyDescent="0.25">
      <c r="A94" s="1"/>
      <c r="B94" s="9">
        <f>SUM(B90:B93)</f>
        <v>10</v>
      </c>
      <c r="C94" s="13"/>
      <c r="D94" s="5"/>
      <c r="E94" s="2"/>
      <c r="F94" s="28"/>
      <c r="H94" s="28"/>
      <c r="L94" s="49"/>
    </row>
    <row r="95" spans="1:12" x14ac:dyDescent="0.25">
      <c r="A95" s="1"/>
      <c r="B95" s="9"/>
      <c r="C95" s="13"/>
      <c r="D95" s="5"/>
      <c r="E95" s="2"/>
      <c r="F95" s="28"/>
      <c r="H95" s="28"/>
      <c r="L95" s="49"/>
    </row>
    <row r="96" spans="1:12" x14ac:dyDescent="0.25">
      <c r="A96" s="3" t="s">
        <v>54</v>
      </c>
      <c r="B96" s="9"/>
      <c r="C96" s="13"/>
      <c r="D96" s="5"/>
      <c r="E96" s="2"/>
      <c r="F96" s="37">
        <f>F98+(F99*$B99)+($B101*F101*40*30)</f>
        <v>113400</v>
      </c>
      <c r="H96" s="37">
        <f>H98+(H99*$B99)+($B101*H101*40*30)+H100</f>
        <v>154052</v>
      </c>
      <c r="I96" s="29">
        <f>H96-F96</f>
        <v>40652</v>
      </c>
      <c r="J96" s="46">
        <f>I96/F96</f>
        <v>0.35848324514991181</v>
      </c>
      <c r="L96" s="37">
        <f>L98+(L99*$B99)+($B101*L101*40*30)+L100</f>
        <v>181279</v>
      </c>
    </row>
    <row r="97" spans="1:12" x14ac:dyDescent="0.25">
      <c r="A97" s="1"/>
      <c r="B97" s="9"/>
      <c r="C97" s="13"/>
      <c r="D97" s="5"/>
      <c r="E97" s="2"/>
      <c r="F97" s="28"/>
      <c r="H97" s="28"/>
      <c r="L97" s="49"/>
    </row>
    <row r="98" spans="1:12" x14ac:dyDescent="0.25">
      <c r="A98" s="1" t="s">
        <v>46</v>
      </c>
      <c r="B98" s="6">
        <v>1</v>
      </c>
      <c r="C98" s="1"/>
      <c r="D98" s="27">
        <v>40000</v>
      </c>
      <c r="E98" s="24"/>
      <c r="F98" s="28">
        <f>D98*1.02</f>
        <v>40800</v>
      </c>
      <c r="H98" s="28">
        <v>64000</v>
      </c>
      <c r="I98" s="29">
        <f>H98-F98</f>
        <v>23200</v>
      </c>
      <c r="J98" s="46">
        <f>I98/F98</f>
        <v>0.56862745098039214</v>
      </c>
      <c r="L98" s="49">
        <v>74880</v>
      </c>
    </row>
    <row r="99" spans="1:12" x14ac:dyDescent="0.25">
      <c r="A99" s="1" t="s">
        <v>61</v>
      </c>
      <c r="B99" s="5">
        <v>1</v>
      </c>
      <c r="C99" s="1"/>
      <c r="D99" s="8">
        <v>30000</v>
      </c>
      <c r="E99" s="2"/>
      <c r="F99" s="28">
        <v>33000</v>
      </c>
      <c r="H99" s="28">
        <f>F99*1.02</f>
        <v>33660</v>
      </c>
      <c r="I99" s="29">
        <f>H99-F99</f>
        <v>660</v>
      </c>
      <c r="J99" s="46">
        <f>I99/F99</f>
        <v>0.02</v>
      </c>
      <c r="L99" s="49">
        <v>36407</v>
      </c>
    </row>
    <row r="100" spans="1:12" x14ac:dyDescent="0.25">
      <c r="A100" s="1" t="s">
        <v>40</v>
      </c>
      <c r="B100" s="5">
        <v>0.5</v>
      </c>
      <c r="C100" s="1"/>
      <c r="D100" s="8"/>
      <c r="E100" s="2"/>
      <c r="F100" s="28"/>
      <c r="H100" s="28">
        <v>16000</v>
      </c>
      <c r="I100" s="29"/>
      <c r="J100" s="46"/>
      <c r="L100" s="49">
        <v>21320</v>
      </c>
    </row>
    <row r="101" spans="1:12" x14ac:dyDescent="0.25">
      <c r="A101" s="20" t="s">
        <v>56</v>
      </c>
      <c r="B101" s="7">
        <v>3</v>
      </c>
      <c r="C101" s="13"/>
      <c r="D101" s="5"/>
      <c r="E101" s="2"/>
      <c r="F101" s="28">
        <v>11</v>
      </c>
      <c r="H101" s="28">
        <f>F101*1.02</f>
        <v>11.22</v>
      </c>
      <c r="I101" s="29">
        <f>H101-F101</f>
        <v>0.22000000000000064</v>
      </c>
      <c r="J101" s="46">
        <f>I101/F101</f>
        <v>2.0000000000000059E-2</v>
      </c>
      <c r="L101" s="49">
        <v>13.52</v>
      </c>
    </row>
    <row r="102" spans="1:12" x14ac:dyDescent="0.25">
      <c r="A102" s="20"/>
      <c r="B102" s="5">
        <f>SUM(B98:B101)</f>
        <v>5.5</v>
      </c>
      <c r="C102" s="13"/>
      <c r="D102" s="5"/>
      <c r="E102" s="2"/>
      <c r="F102" s="28"/>
      <c r="H102" s="28"/>
      <c r="L102" s="49"/>
    </row>
    <row r="103" spans="1:12" x14ac:dyDescent="0.25">
      <c r="A103" s="1"/>
      <c r="B103" s="1"/>
      <c r="C103" s="1"/>
      <c r="D103" s="1"/>
      <c r="E103" s="2"/>
      <c r="F103" s="28"/>
      <c r="H103" s="28"/>
      <c r="L103" s="49"/>
    </row>
    <row r="104" spans="1:12" x14ac:dyDescent="0.25">
      <c r="A104" s="3" t="s">
        <v>34</v>
      </c>
      <c r="B104" s="5"/>
      <c r="C104" s="3" t="s">
        <v>1</v>
      </c>
      <c r="D104" s="14">
        <v>95558.399999999994</v>
      </c>
      <c r="E104" s="12"/>
      <c r="F104" s="37">
        <f>(F106*$B106*40*52)+F107+(F108*$B108*40*52)+(F109*$B109*40*52)</f>
        <v>97844.800000000003</v>
      </c>
      <c r="H104" s="37">
        <f>(H106*$B106*40*52)+H107+(H108*$B108*40*52)+(H109*$B109*40*52)</f>
        <v>99800.032000000007</v>
      </c>
      <c r="I104" s="29">
        <f>H104-F104</f>
        <v>1955.2320000000036</v>
      </c>
      <c r="J104" s="46">
        <f>I104/F104</f>
        <v>1.9982993475381457E-2</v>
      </c>
      <c r="L104" s="37">
        <f>(L106*$B106*40*52)+L107+(L108*$B108*40*52)+(L109*$B109*40*52)</f>
        <v>112470.63</v>
      </c>
    </row>
    <row r="105" spans="1:12" x14ac:dyDescent="0.25">
      <c r="A105" s="1"/>
      <c r="B105" s="1"/>
      <c r="C105" s="1"/>
      <c r="D105" s="1"/>
      <c r="E105" s="2"/>
      <c r="F105" s="28"/>
      <c r="H105" s="28"/>
      <c r="L105" s="49"/>
    </row>
    <row r="106" spans="1:12" x14ac:dyDescent="0.25">
      <c r="A106" s="1" t="s">
        <v>35</v>
      </c>
      <c r="B106" s="5">
        <v>1</v>
      </c>
      <c r="C106" s="1"/>
      <c r="D106" s="5">
        <v>15.79</v>
      </c>
      <c r="E106" s="2"/>
      <c r="F106" s="28">
        <v>16.11</v>
      </c>
      <c r="H106" s="28">
        <v>16.43</v>
      </c>
      <c r="I106" s="29">
        <f>H106-F106</f>
        <v>0.32000000000000028</v>
      </c>
      <c r="J106" s="46">
        <f>I106/F106</f>
        <v>1.9863438857852283E-2</v>
      </c>
      <c r="L106" s="49">
        <v>17.09</v>
      </c>
    </row>
    <row r="107" spans="1:12" x14ac:dyDescent="0.25">
      <c r="A107" s="1" t="s">
        <v>36</v>
      </c>
      <c r="B107" s="5">
        <v>1</v>
      </c>
      <c r="C107" s="1"/>
      <c r="D107" s="5">
        <v>4080</v>
      </c>
      <c r="E107" s="2"/>
      <c r="F107" s="28">
        <f t="shared" ref="F107" si="7">D107*1.02</f>
        <v>4161.6000000000004</v>
      </c>
      <c r="H107" s="28">
        <f>F107*1.02</f>
        <v>4244.8320000000003</v>
      </c>
      <c r="I107" s="29">
        <f>H107-F107</f>
        <v>83.231999999999971</v>
      </c>
      <c r="J107" s="46">
        <f>I107/F107</f>
        <v>1.999999999999999E-2</v>
      </c>
      <c r="L107" s="49">
        <v>4414.63</v>
      </c>
    </row>
    <row r="108" spans="1:12" x14ac:dyDescent="0.25">
      <c r="A108" s="1" t="s">
        <v>37</v>
      </c>
      <c r="B108" s="5">
        <v>1</v>
      </c>
      <c r="C108" s="1"/>
      <c r="D108" s="5">
        <v>16</v>
      </c>
      <c r="E108" s="2"/>
      <c r="F108" s="28">
        <v>16.32</v>
      </c>
      <c r="H108" s="28">
        <v>16.649999999999999</v>
      </c>
      <c r="I108" s="29">
        <f>H108-F108</f>
        <v>0.32999999999999829</v>
      </c>
      <c r="J108" s="46">
        <f>I108/F108</f>
        <v>2.0220588235294011E-2</v>
      </c>
      <c r="L108" s="49">
        <v>19.399999999999999</v>
      </c>
    </row>
    <row r="109" spans="1:12" x14ac:dyDescent="0.25">
      <c r="A109" s="1" t="s">
        <v>38</v>
      </c>
      <c r="B109" s="7">
        <v>1</v>
      </c>
      <c r="C109" s="1"/>
      <c r="D109" s="5">
        <v>12.36</v>
      </c>
      <c r="E109" s="2"/>
      <c r="F109" s="28">
        <v>12.61</v>
      </c>
      <c r="H109" s="28">
        <v>12.86</v>
      </c>
      <c r="I109" s="29">
        <f>H109-F109</f>
        <v>0.25</v>
      </c>
      <c r="J109" s="46">
        <f>I109/F109</f>
        <v>1.9825535289452818E-2</v>
      </c>
      <c r="L109" s="49">
        <v>15.46</v>
      </c>
    </row>
    <row r="110" spans="1:12" x14ac:dyDescent="0.25">
      <c r="A110" s="1"/>
      <c r="B110" s="9">
        <f>SUM(B106:B109)</f>
        <v>4</v>
      </c>
      <c r="C110" s="10"/>
      <c r="D110" s="5"/>
      <c r="E110" s="2"/>
      <c r="F110" s="28"/>
      <c r="H110" s="28"/>
      <c r="L110" s="49"/>
    </row>
    <row r="111" spans="1:12" x14ac:dyDescent="0.25">
      <c r="A111" s="1"/>
      <c r="B111" s="1"/>
      <c r="C111" s="1"/>
      <c r="D111" s="5"/>
      <c r="E111" s="2"/>
      <c r="F111" s="28"/>
      <c r="H111" s="28"/>
      <c r="L111" s="49"/>
    </row>
    <row r="112" spans="1:12" x14ac:dyDescent="0.25">
      <c r="F112" s="29" t="e">
        <f>F4+F12+F18+F26+F41+F55+F63+F73+F88+F96+F104</f>
        <v>#REF!</v>
      </c>
      <c r="H112" s="29" t="e">
        <f>H4+H12+H18+H26+H41+H55+H63+H73+H88+H96+H104</f>
        <v>#REF!</v>
      </c>
      <c r="I112" s="29" t="e">
        <f>H112-F112</f>
        <v>#REF!</v>
      </c>
      <c r="J112" s="46" t="e">
        <f>I112/F112</f>
        <v>#REF!</v>
      </c>
      <c r="L112" s="29">
        <f>L4+L12+L18+L26+L41+L55+L63+L73+L88+L96+L104</f>
        <v>6780677.9300000006</v>
      </c>
    </row>
  </sheetData>
  <mergeCells count="1">
    <mergeCell ref="A1:D1"/>
  </mergeCells>
  <printOptions gridLines="1"/>
  <pageMargins left="0.2" right="0.2" top="0.25" bottom="0.2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Ritter</dc:creator>
  <cp:lastModifiedBy>Melissa Millard</cp:lastModifiedBy>
  <cp:lastPrinted>2024-12-05T18:18:47Z</cp:lastPrinted>
  <dcterms:created xsi:type="dcterms:W3CDTF">2018-10-29T18:29:17Z</dcterms:created>
  <dcterms:modified xsi:type="dcterms:W3CDTF">2024-12-05T18:18:56Z</dcterms:modified>
</cp:coreProperties>
</file>